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880"/>
  </bookViews>
  <sheets>
    <sheet name="25-26" sheetId="5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4" i="5" l="1"/>
  <c r="E44" i="5"/>
  <c r="E25" i="5" l="1"/>
  <c r="E27" i="5" l="1"/>
  <c r="G19" i="5"/>
  <c r="G17" i="5" l="1"/>
  <c r="G18" i="5"/>
  <c r="E23" i="5"/>
  <c r="E19" i="5"/>
  <c r="E18" i="5"/>
  <c r="E17" i="5"/>
  <c r="E16" i="5"/>
  <c r="E15" i="5"/>
  <c r="E14" i="5"/>
  <c r="G7" i="5"/>
  <c r="E4" i="5"/>
  <c r="G4" i="5" s="1"/>
  <c r="G10" i="5" s="1"/>
  <c r="G20" i="5" l="1"/>
  <c r="E10" i="5"/>
  <c r="E20" i="5" s="1"/>
  <c r="E26" i="5"/>
  <c r="E28" i="5" s="1"/>
  <c r="G26" i="5" l="1"/>
  <c r="G28" i="5" s="1"/>
  <c r="G29" i="5" s="1"/>
  <c r="E29" i="5"/>
  <c r="E41" i="5" l="1"/>
  <c r="E33" i="5"/>
  <c r="G35" i="5"/>
  <c r="G37" i="5"/>
  <c r="G40" i="5"/>
  <c r="G41" i="5"/>
  <c r="G38" i="5"/>
  <c r="G39" i="5"/>
  <c r="E39" i="5"/>
  <c r="E40" i="5"/>
  <c r="G36" i="5"/>
  <c r="G34" i="5"/>
  <c r="E37" i="5"/>
  <c r="E38" i="5"/>
  <c r="E36" i="5"/>
  <c r="E34" i="5"/>
  <c r="E35" i="5"/>
  <c r="E43" i="5" l="1"/>
  <c r="G43" i="5"/>
  <c r="G45" i="5" l="1"/>
  <c r="G46" i="5" s="1"/>
  <c r="E45" i="5"/>
  <c r="E46" i="5" s="1"/>
  <c r="G47" i="5" l="1"/>
</calcChain>
</file>

<file path=xl/sharedStrings.xml><?xml version="1.0" encoding="utf-8"?>
<sst xmlns="http://schemas.openxmlformats.org/spreadsheetml/2006/main" count="72" uniqueCount="72">
  <si>
    <t>Income Under the Head Salaries</t>
  </si>
  <si>
    <t>INCOME TAX SALBS</t>
  </si>
  <si>
    <t>Up to 2.5 Lakh</t>
  </si>
  <si>
    <t>CEA-I-IDA</t>
  </si>
  <si>
    <t>Less (Interest on Home Loan)</t>
  </si>
  <si>
    <t>Net Tax Payable</t>
  </si>
  <si>
    <t>Total Tax Payable</t>
  </si>
  <si>
    <t>Education Cess 4%</t>
  </si>
  <si>
    <t>Less: NPS Contribution U/s 80CCD(2) - by Employer only</t>
  </si>
  <si>
    <t>(i) Gross Salary of Employee</t>
  </si>
  <si>
    <t xml:space="preserve">(ia + ib + ic) </t>
  </si>
  <si>
    <t xml:space="preserve">B1    Salary / Pension
 </t>
  </si>
  <si>
    <t>LESS :- Allowance to extent exempt u/s 10 like Travelling allowance, washing allowance, Child education allowance etc.</t>
  </si>
  <si>
    <t>Type of House Property</t>
  </si>
  <si>
    <t>Self Occupied / Let out</t>
  </si>
  <si>
    <t>Rent Recived Total in FY, if 'Let Out' (After deducting 30%)</t>
  </si>
  <si>
    <t>B2</t>
  </si>
  <si>
    <t>B3</t>
  </si>
  <si>
    <t>Income from other sources</t>
  </si>
  <si>
    <t>B4</t>
  </si>
  <si>
    <t>Income chargeable under the head ‘House Property’</t>
  </si>
  <si>
    <t>Like FD, Bond etc.</t>
  </si>
  <si>
    <t>Part C - Deductions and Taxable Total Income</t>
  </si>
  <si>
    <t>Less: NPS Contribution U/s 80CCD(1B) - by Employee only</t>
  </si>
  <si>
    <t>Maximum 150,000 can be claimed by combining both 80C + 80CCD(1)</t>
  </si>
  <si>
    <t>Maximum 50,000 can be claimed in addition to 150,000 above.</t>
  </si>
  <si>
    <t>Maximum 10 % of 'Basic+DA' can be claimed annualy</t>
  </si>
  <si>
    <t>Total Deductions (C1)</t>
  </si>
  <si>
    <t>Part D - Computation of Tax Payable</t>
  </si>
  <si>
    <t>D1</t>
  </si>
  <si>
    <t>Claimed</t>
  </si>
  <si>
    <t>Invested / Expenditure</t>
  </si>
  <si>
    <t>Deductions</t>
  </si>
  <si>
    <t>Description / Remarks</t>
  </si>
  <si>
    <t>Old Tax Rate (%)</t>
  </si>
  <si>
    <t>New Tax Rate (%)</t>
  </si>
  <si>
    <t>Old Tax Amount (Rs.)</t>
  </si>
  <si>
    <t>New Tax Amount (Rs.)</t>
  </si>
  <si>
    <t>Less: NPS / Atal PY Contribution U/s 80CCD(1) - by Employee only</t>
  </si>
  <si>
    <t>Less: Deduction u/s 80D</t>
  </si>
  <si>
    <t>Less: Deductions U/s 80C (PF, LIC, SSY, SCSS, NSC, KVP etc.)</t>
  </si>
  <si>
    <t>FINAL TAX Difference</t>
  </si>
  <si>
    <t>Customized field calculator (Do change as you wish)</t>
  </si>
  <si>
    <t>Short Term Capital Gain (Tax Statement from your broker)</t>
  </si>
  <si>
    <t>Long Term Capital Gain (Tax Statement from your broker)</t>
  </si>
  <si>
    <t>Income from Equity shares or Equity Mutual Fund (ITR-2 needs to fill in 111A)</t>
  </si>
  <si>
    <t>Income from Equity shares or Equity Mutual Fund  (ITR-2 needs to fill in 112A)</t>
  </si>
  <si>
    <t>Intra-day gain (Speculative trading)</t>
  </si>
  <si>
    <t>Income from Equity shares (Intra-day)</t>
  </si>
  <si>
    <t>On Total Income (other than Short term capital gain)</t>
  </si>
  <si>
    <t>(b) Value of perquisites as per sec 17(2)</t>
  </si>
  <si>
    <t>(c) Profits in lieu of salary as per sec 17(3)</t>
  </si>
  <si>
    <t>U/s 80TTA (General) - Maximum 10,000</t>
  </si>
  <si>
    <t>(a) Salary as per sec 17(1)</t>
  </si>
  <si>
    <t>Interest from Savings bank</t>
  </si>
  <si>
    <t>10 Lakh - 12 Lakh</t>
  </si>
  <si>
    <t>Less: Standard deduction u/s 16(iv)</t>
  </si>
  <si>
    <t>(by only30sec.com)</t>
  </si>
  <si>
    <r>
      <t xml:space="preserve">Fill only the </t>
    </r>
    <r>
      <rPr>
        <b/>
        <u/>
        <sz val="20"/>
        <color rgb="FFFF0000"/>
        <rFont val="Calibri"/>
        <family val="2"/>
        <scheme val="minor"/>
      </rPr>
      <t>Red-Highlighted</t>
    </r>
    <r>
      <rPr>
        <b/>
        <sz val="20"/>
        <color rgb="FFFF0000"/>
        <rFont val="Calibri"/>
        <family val="2"/>
        <scheme val="minor"/>
      </rPr>
      <t xml:space="preserve"> field                    </t>
    </r>
    <r>
      <rPr>
        <b/>
        <i/>
        <sz val="20"/>
        <color rgb="FFFF0000"/>
        <rFont val="Calibri"/>
        <family val="2"/>
        <scheme val="minor"/>
      </rPr>
      <t>(by only30sec.com)</t>
    </r>
  </si>
  <si>
    <t>Gross Total Income (B1+B2+B3) (Except Short &amp; Long term capital gain amount)</t>
  </si>
  <si>
    <t>Total Income (B4 - C1) (Except Short &amp; Long term capital gain amount)</t>
  </si>
  <si>
    <t>2.5 Lakh - 4 Lakh</t>
  </si>
  <si>
    <t>4 Lakh - 5 Lakh</t>
  </si>
  <si>
    <t>5 Lakh - 8 Lakh</t>
  </si>
  <si>
    <t>8 Lakh - 10 Lakh</t>
  </si>
  <si>
    <t>12 Lakh - 16 Lakh</t>
  </si>
  <si>
    <t>16 Lakh - 20 Lakh</t>
  </si>
  <si>
    <t>20 Lakh - 24 Lakh</t>
  </si>
  <si>
    <t>more than 24 Lakh</t>
  </si>
  <si>
    <t>Short term + Long Term capital gain tax</t>
  </si>
  <si>
    <t>Health premium - 25,000 for individual below 60 years or, 50,000 for individual above 60 years in addition to 50,000 for premiums of parents above 60</t>
  </si>
  <si>
    <t>Excel Income tax Calculator for FY 26-27 (AY 27-28)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</si>
</sst>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u/>
      <sz val="20"/>
      <color rgb="FFFF0000"/>
      <name val="Calibri"/>
      <family val="2"/>
      <scheme val="minor"/>
    </font>
    <font>
      <b/>
      <sz val="20"/>
      <name val="Calibri"/>
      <family val="2"/>
      <scheme val="minor"/>
    </font>
    <font>
      <sz val="20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i/>
      <sz val="20"/>
      <color rgb="FFFF0000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2" fillId="3" borderId="1" xfId="0" applyFont="1" applyFill="1" applyBorder="1" applyAlignment="1">
      <alignment wrapText="1"/>
    </xf>
    <xf numFmtId="0" fontId="2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3" fontId="1" fillId="0" borderId="1" xfId="0" applyNumberFormat="1" applyFont="1" applyBorder="1" applyAlignment="1">
      <alignment horizont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3" fontId="3" fillId="0" borderId="1" xfId="0" applyNumberFormat="1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3" fontId="1" fillId="0" borderId="1" xfId="0" applyNumberFormat="1" applyFont="1" applyBorder="1" applyAlignment="1">
      <alignment horizontal="center"/>
    </xf>
    <xf numFmtId="3" fontId="2" fillId="0" borderId="1" xfId="0" applyNumberFormat="1" applyFont="1" applyBorder="1" applyAlignment="1">
      <alignment horizontal="center" wrapText="1"/>
    </xf>
    <xf numFmtId="0" fontId="1" fillId="0" borderId="1" xfId="0" applyFont="1" applyBorder="1" applyAlignment="1">
      <alignment vertical="center" wrapText="1"/>
    </xf>
    <xf numFmtId="3" fontId="10" fillId="0" borderId="1" xfId="0" applyNumberFormat="1" applyFont="1" applyBorder="1" applyAlignment="1">
      <alignment horizontal="center" wrapText="1"/>
    </xf>
    <xf numFmtId="3" fontId="11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vertical="center"/>
    </xf>
    <xf numFmtId="0" fontId="11" fillId="0" borderId="1" xfId="0" applyFont="1" applyBorder="1" applyAlignment="1">
      <alignment horizontal="center" vertical="center" wrapText="1"/>
    </xf>
    <xf numFmtId="3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3" fontId="8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wrapText="1"/>
    </xf>
    <xf numFmtId="0" fontId="1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"/>
  <sheetViews>
    <sheetView tabSelected="1" workbookViewId="0">
      <selection activeCell="L8" sqref="L8"/>
    </sheetView>
  </sheetViews>
  <sheetFormatPr defaultRowHeight="15.75" x14ac:dyDescent="0.25"/>
  <cols>
    <col min="1" max="1" width="8.42578125" style="11" customWidth="1"/>
    <col min="2" max="2" width="33.140625" customWidth="1"/>
    <col min="3" max="3" width="42" customWidth="1"/>
    <col min="4" max="4" width="12.42578125" style="1" customWidth="1"/>
    <col min="5" max="5" width="14.42578125" customWidth="1"/>
    <col min="6" max="6" width="10.85546875" style="33" customWidth="1"/>
    <col min="7" max="7" width="16.85546875" bestFit="1" customWidth="1"/>
    <col min="8" max="8" width="9" style="1" bestFit="1" customWidth="1"/>
  </cols>
  <sheetData>
    <row r="1" spans="1:8" ht="31.5" customHeight="1" x14ac:dyDescent="0.5">
      <c r="A1" s="44" t="s">
        <v>71</v>
      </c>
      <c r="B1" s="44"/>
      <c r="C1" s="44"/>
      <c r="D1" s="44"/>
      <c r="E1" s="44"/>
      <c r="F1" s="44"/>
      <c r="G1" s="44"/>
      <c r="H1" s="44"/>
    </row>
    <row r="2" spans="1:8" ht="33.75" x14ac:dyDescent="0.25">
      <c r="A2" s="45" t="s">
        <v>42</v>
      </c>
      <c r="B2" s="45"/>
      <c r="C2" s="45"/>
      <c r="D2" s="45"/>
      <c r="E2" s="45"/>
      <c r="F2" s="45"/>
      <c r="G2" s="45"/>
      <c r="H2" s="45"/>
    </row>
    <row r="3" spans="1:8" ht="26.25" customHeight="1" x14ac:dyDescent="0.4">
      <c r="A3" s="9"/>
      <c r="B3" s="46" t="s">
        <v>58</v>
      </c>
      <c r="C3" s="46"/>
      <c r="D3" s="46"/>
      <c r="E3" s="46"/>
      <c r="F3" s="46"/>
      <c r="G3" s="46"/>
      <c r="H3" s="46"/>
    </row>
    <row r="4" spans="1:8" x14ac:dyDescent="0.25">
      <c r="A4" s="34" t="s">
        <v>11</v>
      </c>
      <c r="B4" s="2" t="s">
        <v>9</v>
      </c>
      <c r="C4" s="2" t="s">
        <v>10</v>
      </c>
      <c r="D4" s="6"/>
      <c r="E4" s="14">
        <f>E5+E6+E7</f>
        <v>2500000</v>
      </c>
      <c r="F4" s="10"/>
      <c r="G4" s="8">
        <f>E4</f>
        <v>2500000</v>
      </c>
      <c r="H4" s="10"/>
    </row>
    <row r="5" spans="1:8" x14ac:dyDescent="0.25">
      <c r="A5" s="34"/>
      <c r="B5" s="2"/>
      <c r="C5" s="2" t="s">
        <v>53</v>
      </c>
      <c r="D5" s="6"/>
      <c r="E5" s="12">
        <v>2500000</v>
      </c>
      <c r="F5" s="8"/>
      <c r="G5" s="8"/>
      <c r="H5" s="6"/>
    </row>
    <row r="6" spans="1:8" x14ac:dyDescent="0.25">
      <c r="A6" s="34"/>
      <c r="B6" s="2"/>
      <c r="C6" s="2" t="s">
        <v>50</v>
      </c>
      <c r="D6" s="6"/>
      <c r="E6" s="13">
        <v>0</v>
      </c>
      <c r="F6" s="8"/>
      <c r="G6" s="8"/>
      <c r="H6" s="6"/>
    </row>
    <row r="7" spans="1:8" ht="31.5" x14ac:dyDescent="0.25">
      <c r="A7" s="34"/>
      <c r="B7" s="2"/>
      <c r="C7" s="2" t="s">
        <v>51</v>
      </c>
      <c r="D7" s="6"/>
      <c r="E7" s="13">
        <v>0</v>
      </c>
      <c r="F7" s="8"/>
      <c r="G7" s="8">
        <f>E7</f>
        <v>0</v>
      </c>
      <c r="H7" s="6"/>
    </row>
    <row r="8" spans="1:8" x14ac:dyDescent="0.25">
      <c r="A8" s="34"/>
      <c r="B8" s="35" t="s">
        <v>12</v>
      </c>
      <c r="C8" s="35"/>
      <c r="D8" s="6" t="s">
        <v>3</v>
      </c>
      <c r="E8" s="13">
        <v>0</v>
      </c>
      <c r="F8" s="8"/>
      <c r="G8" s="8">
        <v>0</v>
      </c>
      <c r="H8" s="6"/>
    </row>
    <row r="9" spans="1:8" x14ac:dyDescent="0.25">
      <c r="A9" s="34"/>
      <c r="B9" s="35" t="s">
        <v>56</v>
      </c>
      <c r="C9" s="35"/>
      <c r="D9" s="6"/>
      <c r="E9" s="8">
        <v>50000</v>
      </c>
      <c r="F9" s="6"/>
      <c r="G9" s="8">
        <v>75000</v>
      </c>
      <c r="H9" s="6"/>
    </row>
    <row r="10" spans="1:8" x14ac:dyDescent="0.25">
      <c r="A10" s="34"/>
      <c r="B10" s="2" t="s">
        <v>0</v>
      </c>
      <c r="C10" s="2"/>
      <c r="D10" s="6"/>
      <c r="E10" s="8">
        <f>E4-E8-E9</f>
        <v>2450000</v>
      </c>
      <c r="F10" s="8"/>
      <c r="G10" s="8">
        <f>G4-G8-G9</f>
        <v>2425000</v>
      </c>
      <c r="H10" s="6"/>
    </row>
    <row r="11" spans="1:8" x14ac:dyDescent="0.25">
      <c r="A11" s="34" t="s">
        <v>16</v>
      </c>
      <c r="B11" s="2" t="s">
        <v>13</v>
      </c>
      <c r="C11" s="2" t="s">
        <v>14</v>
      </c>
      <c r="D11" s="6"/>
      <c r="E11" s="8"/>
      <c r="F11" s="8"/>
      <c r="G11" s="8"/>
      <c r="H11" s="6"/>
    </row>
    <row r="12" spans="1:8" ht="31.5" x14ac:dyDescent="0.25">
      <c r="A12" s="34"/>
      <c r="B12" s="2" t="s">
        <v>15</v>
      </c>
      <c r="C12" s="2"/>
      <c r="D12" s="6"/>
      <c r="E12" s="12">
        <v>0</v>
      </c>
      <c r="F12" s="8"/>
      <c r="G12" s="8"/>
      <c r="H12" s="6"/>
    </row>
    <row r="13" spans="1:8" x14ac:dyDescent="0.25">
      <c r="A13" s="34"/>
      <c r="B13" s="2" t="s">
        <v>4</v>
      </c>
      <c r="C13" s="2"/>
      <c r="D13" s="6"/>
      <c r="E13" s="12">
        <v>0</v>
      </c>
      <c r="F13" s="8"/>
      <c r="G13" s="8"/>
      <c r="H13" s="6"/>
    </row>
    <row r="14" spans="1:8" x14ac:dyDescent="0.25">
      <c r="A14" s="34"/>
      <c r="B14" s="35" t="s">
        <v>20</v>
      </c>
      <c r="C14" s="35"/>
      <c r="D14" s="6"/>
      <c r="E14" s="8">
        <f>E12-E13</f>
        <v>0</v>
      </c>
      <c r="F14" s="8"/>
      <c r="G14" s="8">
        <v>0</v>
      </c>
      <c r="H14" s="6"/>
    </row>
    <row r="15" spans="1:8" x14ac:dyDescent="0.25">
      <c r="A15" s="27" t="s">
        <v>17</v>
      </c>
      <c r="B15" s="2" t="s">
        <v>18</v>
      </c>
      <c r="C15" s="2" t="s">
        <v>21</v>
      </c>
      <c r="D15" s="13">
        <v>25000</v>
      </c>
      <c r="E15" s="17">
        <f>D15</f>
        <v>25000</v>
      </c>
      <c r="F15" s="8"/>
      <c r="G15" s="8">
        <v>0</v>
      </c>
      <c r="H15" s="6"/>
    </row>
    <row r="16" spans="1:8" x14ac:dyDescent="0.25">
      <c r="A16" s="9"/>
      <c r="B16" s="16" t="s">
        <v>54</v>
      </c>
      <c r="C16" s="2" t="s">
        <v>52</v>
      </c>
      <c r="D16" s="13">
        <v>15000</v>
      </c>
      <c r="E16" s="8">
        <f>IF((D16-10000)&lt;0,0,D16-10000)</f>
        <v>5000</v>
      </c>
      <c r="F16" s="8"/>
      <c r="G16" s="8">
        <v>0</v>
      </c>
      <c r="H16" s="6"/>
    </row>
    <row r="17" spans="1:8" ht="31.5" x14ac:dyDescent="0.25">
      <c r="A17" s="27"/>
      <c r="B17" s="2" t="s">
        <v>47</v>
      </c>
      <c r="C17" s="2" t="s">
        <v>48</v>
      </c>
      <c r="D17" s="13">
        <v>5000</v>
      </c>
      <c r="E17" s="17">
        <f>D17</f>
        <v>5000</v>
      </c>
      <c r="F17" s="8"/>
      <c r="G17" s="17">
        <f>D17</f>
        <v>5000</v>
      </c>
      <c r="H17" s="6"/>
    </row>
    <row r="18" spans="1:8" ht="31.5" x14ac:dyDescent="0.25">
      <c r="A18" s="27"/>
      <c r="B18" s="16" t="s">
        <v>43</v>
      </c>
      <c r="C18" s="2" t="s">
        <v>45</v>
      </c>
      <c r="D18" s="13">
        <v>15000</v>
      </c>
      <c r="E18" s="17">
        <f>D18</f>
        <v>15000</v>
      </c>
      <c r="F18" s="8"/>
      <c r="G18" s="17">
        <f>D18</f>
        <v>15000</v>
      </c>
      <c r="H18" s="6"/>
    </row>
    <row r="19" spans="1:8" ht="31.5" x14ac:dyDescent="0.25">
      <c r="A19" s="27"/>
      <c r="B19" s="16" t="s">
        <v>44</v>
      </c>
      <c r="C19" s="2" t="s">
        <v>46</v>
      </c>
      <c r="D19" s="13">
        <v>130000</v>
      </c>
      <c r="E19" s="17">
        <f>IF((D19-100000)&lt;0,0,D19-100000)</f>
        <v>30000</v>
      </c>
      <c r="F19" s="8"/>
      <c r="G19" s="17">
        <f>IF((D19-125000)&lt;0,0,D19-125000)</f>
        <v>5000</v>
      </c>
      <c r="H19" s="6"/>
    </row>
    <row r="20" spans="1:8" ht="43.5" customHeight="1" x14ac:dyDescent="0.25">
      <c r="A20" s="21" t="s">
        <v>19</v>
      </c>
      <c r="B20" s="36" t="s">
        <v>59</v>
      </c>
      <c r="C20" s="36"/>
      <c r="D20" s="21"/>
      <c r="E20" s="22">
        <f>E10+E14+E15+E16+E17</f>
        <v>2485000</v>
      </c>
      <c r="F20" s="22"/>
      <c r="G20" s="22">
        <f>G10+G14+G15+G16+G17</f>
        <v>2430000</v>
      </c>
      <c r="H20" s="21"/>
    </row>
    <row r="21" spans="1:8" ht="23.25" customHeight="1" x14ac:dyDescent="0.25">
      <c r="A21" s="37" t="s">
        <v>22</v>
      </c>
      <c r="B21" s="37"/>
      <c r="C21" s="37"/>
      <c r="D21" s="37"/>
      <c r="E21" s="37"/>
      <c r="F21" s="37"/>
      <c r="G21" s="37"/>
      <c r="H21" s="37"/>
    </row>
    <row r="22" spans="1:8" ht="47.25" x14ac:dyDescent="0.25">
      <c r="A22" s="27"/>
      <c r="B22" s="27" t="s">
        <v>32</v>
      </c>
      <c r="C22" s="27" t="s">
        <v>33</v>
      </c>
      <c r="D22" s="27" t="s">
        <v>31</v>
      </c>
      <c r="E22" s="27" t="s">
        <v>30</v>
      </c>
      <c r="F22" s="27"/>
      <c r="G22" s="27"/>
      <c r="H22" s="27"/>
    </row>
    <row r="23" spans="1:8" ht="31.5" x14ac:dyDescent="0.25">
      <c r="A23" s="9"/>
      <c r="B23" s="2" t="s">
        <v>40</v>
      </c>
      <c r="C23" s="38" t="s">
        <v>24</v>
      </c>
      <c r="D23" s="12">
        <v>130000</v>
      </c>
      <c r="E23" s="39">
        <f>IF((D23+D24-150000)&lt;0,D23+D24,150000)</f>
        <v>150000</v>
      </c>
      <c r="F23" s="8"/>
      <c r="G23" s="8"/>
      <c r="H23" s="6"/>
    </row>
    <row r="24" spans="1:8" ht="47.25" x14ac:dyDescent="0.25">
      <c r="A24" s="9"/>
      <c r="B24" s="2" t="s">
        <v>38</v>
      </c>
      <c r="C24" s="38"/>
      <c r="D24" s="12">
        <v>45000</v>
      </c>
      <c r="E24" s="39"/>
      <c r="F24" s="8"/>
      <c r="G24" s="8"/>
      <c r="H24" s="6"/>
    </row>
    <row r="25" spans="1:8" ht="31.5" x14ac:dyDescent="0.25">
      <c r="A25" s="9"/>
      <c r="B25" s="2" t="s">
        <v>23</v>
      </c>
      <c r="C25" s="2" t="s">
        <v>25</v>
      </c>
      <c r="D25" s="13">
        <v>45000</v>
      </c>
      <c r="E25" s="8">
        <f>IF((D25-50000)&lt;0,D25,50000)</f>
        <v>45000</v>
      </c>
      <c r="F25" s="8"/>
      <c r="G25" s="8"/>
      <c r="H25" s="6"/>
    </row>
    <row r="26" spans="1:8" ht="31.5" x14ac:dyDescent="0.25">
      <c r="A26" s="9"/>
      <c r="B26" s="2" t="s">
        <v>8</v>
      </c>
      <c r="C26" s="2" t="s">
        <v>26</v>
      </c>
      <c r="D26" s="13">
        <v>75000</v>
      </c>
      <c r="E26" s="8">
        <f>IF((D26-(0.1*E4))&lt;0,D26,(0.1*E4))</f>
        <v>75000</v>
      </c>
      <c r="F26" s="8"/>
      <c r="G26" s="8">
        <f>E26</f>
        <v>75000</v>
      </c>
      <c r="H26" s="6"/>
    </row>
    <row r="27" spans="1:8" ht="63" x14ac:dyDescent="0.25">
      <c r="A27" s="9"/>
      <c r="B27" s="16" t="s">
        <v>39</v>
      </c>
      <c r="C27" s="2" t="s">
        <v>70</v>
      </c>
      <c r="D27" s="13">
        <v>75000</v>
      </c>
      <c r="E27" s="8">
        <f>IF((D27-75000)&lt;0,D27,75000)</f>
        <v>75000</v>
      </c>
      <c r="F27" s="8"/>
      <c r="G27" s="8"/>
      <c r="H27" s="6"/>
    </row>
    <row r="28" spans="1:8" x14ac:dyDescent="0.25">
      <c r="A28" s="9"/>
      <c r="B28" s="2" t="s">
        <v>27</v>
      </c>
      <c r="C28" s="2"/>
      <c r="D28" s="8"/>
      <c r="E28" s="8">
        <f>E23+E25+E26+E27</f>
        <v>345000</v>
      </c>
      <c r="F28" s="8"/>
      <c r="G28" s="8">
        <f>G23+G25+G26+G27</f>
        <v>75000</v>
      </c>
      <c r="H28" s="6"/>
    </row>
    <row r="29" spans="1:8" ht="42" customHeight="1" x14ac:dyDescent="0.25">
      <c r="A29" s="20"/>
      <c r="B29" s="36" t="s">
        <v>60</v>
      </c>
      <c r="C29" s="36"/>
      <c r="D29" s="23"/>
      <c r="E29" s="24">
        <f>E20-E28</f>
        <v>2140000</v>
      </c>
      <c r="F29" s="23"/>
      <c r="G29" s="24">
        <f>G20-G28</f>
        <v>2355000</v>
      </c>
      <c r="H29" s="23"/>
    </row>
    <row r="30" spans="1:8" ht="23.25" x14ac:dyDescent="0.35">
      <c r="A30" s="40" t="s">
        <v>28</v>
      </c>
      <c r="B30" s="40"/>
      <c r="C30" s="40"/>
      <c r="D30" s="40"/>
      <c r="E30" s="40"/>
      <c r="F30" s="40"/>
      <c r="G30" s="40"/>
      <c r="H30" s="40"/>
    </row>
    <row r="31" spans="1:8" ht="63" x14ac:dyDescent="0.25">
      <c r="A31" s="41" t="s">
        <v>29</v>
      </c>
      <c r="B31" s="28" t="s">
        <v>1</v>
      </c>
      <c r="C31" s="27"/>
      <c r="D31" s="27" t="s">
        <v>34</v>
      </c>
      <c r="E31" s="27" t="s">
        <v>36</v>
      </c>
      <c r="F31" s="27"/>
      <c r="G31" s="27" t="s">
        <v>37</v>
      </c>
      <c r="H31" s="27" t="s">
        <v>35</v>
      </c>
    </row>
    <row r="32" spans="1:8" x14ac:dyDescent="0.25">
      <c r="A32" s="41"/>
      <c r="B32" s="2" t="s">
        <v>2</v>
      </c>
      <c r="C32" s="2"/>
      <c r="D32" s="6">
        <v>0</v>
      </c>
      <c r="E32" s="6">
        <v>0</v>
      </c>
      <c r="F32" s="6"/>
      <c r="G32" s="8">
        <v>0</v>
      </c>
      <c r="H32" s="6">
        <v>0</v>
      </c>
    </row>
    <row r="33" spans="1:8" x14ac:dyDescent="0.25">
      <c r="A33" s="41"/>
      <c r="B33" s="2" t="s">
        <v>61</v>
      </c>
      <c r="C33" s="2"/>
      <c r="D33" s="6">
        <v>5</v>
      </c>
      <c r="E33" s="8">
        <f>IF((500000-E29)&lt;0,7500,0)</f>
        <v>7500</v>
      </c>
      <c r="F33" s="6"/>
      <c r="G33" s="8">
        <v>0</v>
      </c>
      <c r="H33" s="6">
        <v>0</v>
      </c>
    </row>
    <row r="34" spans="1:8" x14ac:dyDescent="0.25">
      <c r="A34" s="41"/>
      <c r="B34" s="2" t="s">
        <v>62</v>
      </c>
      <c r="C34" s="2"/>
      <c r="D34" s="6">
        <v>5</v>
      </c>
      <c r="E34" s="8">
        <f>IF((500000-E29)&lt;0,5000,0)</f>
        <v>5000</v>
      </c>
      <c r="F34" s="8"/>
      <c r="G34" s="8">
        <f>IF((1200000-G29)&lt;0,5000,0)</f>
        <v>5000</v>
      </c>
      <c r="H34" s="6">
        <v>5</v>
      </c>
    </row>
    <row r="35" spans="1:8" x14ac:dyDescent="0.25">
      <c r="A35" s="41"/>
      <c r="B35" s="2" t="s">
        <v>63</v>
      </c>
      <c r="C35" s="2"/>
      <c r="D35" s="6">
        <v>20</v>
      </c>
      <c r="E35" s="8">
        <f>IF((800000-E29)&lt;0,60000,MAX(0,(E29-500000)*D35/100))</f>
        <v>60000</v>
      </c>
      <c r="F35" s="8"/>
      <c r="G35" s="8">
        <f>IF((1200000-G29)&lt;0,15000,0)</f>
        <v>15000</v>
      </c>
      <c r="H35" s="6">
        <v>5</v>
      </c>
    </row>
    <row r="36" spans="1:8" x14ac:dyDescent="0.25">
      <c r="A36" s="41"/>
      <c r="B36" s="2" t="s">
        <v>64</v>
      </c>
      <c r="C36" s="26" t="s">
        <v>57</v>
      </c>
      <c r="D36" s="6">
        <v>20</v>
      </c>
      <c r="E36" s="8">
        <f>IF((1000000-E29)&lt;0,40000,MAX(0,(E29-800000)*D36/100))</f>
        <v>40000</v>
      </c>
      <c r="F36" s="8"/>
      <c r="G36" s="8">
        <f>IF((1200000-G29)&lt;0,20000,0)</f>
        <v>20000</v>
      </c>
      <c r="H36" s="6">
        <v>10</v>
      </c>
    </row>
    <row r="37" spans="1:8" x14ac:dyDescent="0.25">
      <c r="A37" s="41"/>
      <c r="B37" s="2" t="s">
        <v>55</v>
      </c>
      <c r="C37" s="2"/>
      <c r="D37" s="6">
        <v>30</v>
      </c>
      <c r="E37" s="8">
        <f>IF((1200000-E29)&lt;0,60000,MAX(0,(E29-1000000)*D37/100))</f>
        <v>60000</v>
      </c>
      <c r="F37" s="8"/>
      <c r="G37" s="8">
        <f>IF((1200000-G29)&lt;0,20000,MAX(0,(G29-1000000)*H37/100))</f>
        <v>20000</v>
      </c>
      <c r="H37" s="6">
        <v>10</v>
      </c>
    </row>
    <row r="38" spans="1:8" x14ac:dyDescent="0.25">
      <c r="A38" s="41"/>
      <c r="B38" s="2" t="s">
        <v>65</v>
      </c>
      <c r="C38" s="2"/>
      <c r="D38" s="6">
        <v>30</v>
      </c>
      <c r="E38" s="8">
        <f>IF((1600000-E29)&lt;0,120000,MAX(0,(E29-1200000)*D38/100))</f>
        <v>120000</v>
      </c>
      <c r="F38" s="8"/>
      <c r="G38" s="8">
        <f>IF((1600000-G29)&lt;0,60000,MAX(0,(G29-1200000)*H38/100))</f>
        <v>60000</v>
      </c>
      <c r="H38" s="6">
        <v>15</v>
      </c>
    </row>
    <row r="39" spans="1:8" x14ac:dyDescent="0.25">
      <c r="A39" s="41"/>
      <c r="B39" s="2" t="s">
        <v>66</v>
      </c>
      <c r="C39" s="2"/>
      <c r="D39" s="6">
        <v>30</v>
      </c>
      <c r="E39" s="8">
        <f>IF((2000000-E29)&lt;0,120000,MAX(0,(E29-1600000)*D39/100))</f>
        <v>120000</v>
      </c>
      <c r="F39" s="8"/>
      <c r="G39" s="8">
        <f>IF((2000000-G29)&lt;0,80000,MAX(0,(G29-1600000)*H39/100))</f>
        <v>80000</v>
      </c>
      <c r="H39" s="6">
        <v>20</v>
      </c>
    </row>
    <row r="40" spans="1:8" x14ac:dyDescent="0.25">
      <c r="A40" s="41"/>
      <c r="B40" s="2" t="s">
        <v>67</v>
      </c>
      <c r="C40" s="2"/>
      <c r="D40" s="6">
        <v>30</v>
      </c>
      <c r="E40" s="8">
        <f>IF((2400000-E29)&lt;0,120000,MAX(0,(E29-2000000)*D40/100))</f>
        <v>42000</v>
      </c>
      <c r="F40" s="8"/>
      <c r="G40" s="8">
        <f>IF((2400000-G29)&lt;0,100000,MAX(0,(G29-2000000)*H40/100))</f>
        <v>88750</v>
      </c>
      <c r="H40" s="6">
        <v>25</v>
      </c>
    </row>
    <row r="41" spans="1:8" x14ac:dyDescent="0.25">
      <c r="A41" s="41"/>
      <c r="B41" s="2" t="s">
        <v>68</v>
      </c>
      <c r="C41" s="2"/>
      <c r="D41" s="6">
        <v>30</v>
      </c>
      <c r="E41" s="8">
        <f>IF(E29&lt;2400000,0,(E29-2400000)*D41/100)</f>
        <v>0</v>
      </c>
      <c r="F41" s="8"/>
      <c r="G41" s="8">
        <f>IF(G29&lt;2400000,0,(G29-2400000)*H41/100)</f>
        <v>0</v>
      </c>
      <c r="H41" s="6">
        <v>30</v>
      </c>
    </row>
    <row r="42" spans="1:8" x14ac:dyDescent="0.25">
      <c r="A42" s="9"/>
      <c r="B42" s="4"/>
      <c r="C42" s="4"/>
      <c r="D42" s="7"/>
      <c r="E42" s="7"/>
      <c r="F42" s="7"/>
      <c r="G42" s="7"/>
      <c r="H42" s="7"/>
    </row>
    <row r="43" spans="1:8" ht="31.5" x14ac:dyDescent="0.25">
      <c r="A43" s="9"/>
      <c r="B43" s="3" t="s">
        <v>5</v>
      </c>
      <c r="C43" s="3" t="s">
        <v>49</v>
      </c>
      <c r="D43" s="5"/>
      <c r="E43" s="15">
        <f>SUM(E32:E41)</f>
        <v>454500</v>
      </c>
      <c r="F43" s="5"/>
      <c r="G43" s="15">
        <f>SUM(G32:G41)</f>
        <v>288750</v>
      </c>
      <c r="H43" s="5"/>
    </row>
    <row r="44" spans="1:8" x14ac:dyDescent="0.25">
      <c r="A44" s="9"/>
      <c r="B44" s="3"/>
      <c r="C44" s="3" t="s">
        <v>69</v>
      </c>
      <c r="D44" s="5"/>
      <c r="E44" s="15">
        <f>E18*0.2+E19*0.125</f>
        <v>6750</v>
      </c>
      <c r="F44" s="5"/>
      <c r="G44" s="15">
        <f>G18*0.2+G19*0.125</f>
        <v>3625</v>
      </c>
      <c r="H44" s="5"/>
    </row>
    <row r="45" spans="1:8" x14ac:dyDescent="0.25">
      <c r="A45" s="9"/>
      <c r="B45" s="3" t="s">
        <v>7</v>
      </c>
      <c r="C45" s="3"/>
      <c r="D45" s="5"/>
      <c r="E45" s="15">
        <f>(E43+E44)*0.04</f>
        <v>18450</v>
      </c>
      <c r="F45" s="5"/>
      <c r="G45" s="15">
        <f>(G43+G44)*0.04</f>
        <v>11695</v>
      </c>
      <c r="H45" s="5"/>
    </row>
    <row r="46" spans="1:8" s="1" customFormat="1" ht="29.25" customHeight="1" x14ac:dyDescent="0.25">
      <c r="A46" s="29"/>
      <c r="B46" s="42" t="s">
        <v>6</v>
      </c>
      <c r="C46" s="42"/>
      <c r="D46" s="42"/>
      <c r="E46" s="18">
        <f>E43+E44+E45</f>
        <v>479700</v>
      </c>
      <c r="F46" s="19"/>
      <c r="G46" s="18">
        <f>G43+G44+G45</f>
        <v>304070</v>
      </c>
      <c r="H46" s="19"/>
    </row>
    <row r="47" spans="1:8" s="25" customFormat="1" ht="31.5" customHeight="1" x14ac:dyDescent="0.25">
      <c r="A47" s="30"/>
      <c r="B47" s="43" t="s">
        <v>41</v>
      </c>
      <c r="C47" s="43"/>
      <c r="D47" s="43"/>
      <c r="E47" s="43"/>
      <c r="F47" s="31"/>
      <c r="G47" s="32">
        <f>G46-E46</f>
        <v>-175630</v>
      </c>
      <c r="H47" s="31"/>
    </row>
  </sheetData>
  <mergeCells count="17">
    <mergeCell ref="A1:H1"/>
    <mergeCell ref="A2:H2"/>
    <mergeCell ref="B3:H3"/>
    <mergeCell ref="A4:A10"/>
    <mergeCell ref="B8:C8"/>
    <mergeCell ref="B9:C9"/>
    <mergeCell ref="B29:C29"/>
    <mergeCell ref="A30:H30"/>
    <mergeCell ref="A31:A41"/>
    <mergeCell ref="B46:D46"/>
    <mergeCell ref="B47:E47"/>
    <mergeCell ref="A11:A14"/>
    <mergeCell ref="B14:C14"/>
    <mergeCell ref="B20:C20"/>
    <mergeCell ref="A21:H21"/>
    <mergeCell ref="C23:C24"/>
    <mergeCell ref="E23:E24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25-26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2026-10-21T09:54:53Z</dcterms:modified>
</cp:coreProperties>
</file>